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alition on the Continuum of Care\Annual NOFO- Collaborative Applicant\2022 NOFO\Regular NOFO\New Projects\RFP\"/>
    </mc:Choice>
  </mc:AlternateContent>
  <xr:revisionPtr revIDLastSave="0" documentId="13_ncr:1_{13A53308-00B1-4AA2-A13F-867B2B729193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RRH - MODEL BUDGET - RFP" sheetId="5" r:id="rId1"/>
  </sheets>
  <definedNames>
    <definedName name="_xlnm.Print_Area" localSheetId="0">'RRH - MODEL BUDGET - RFP'!$A$1:$H$55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5" l="1"/>
  <c r="C7" i="5"/>
  <c r="D7" i="5" s="1"/>
  <c r="C6" i="5"/>
  <c r="D6" i="5" s="1"/>
  <c r="C53" i="5"/>
  <c r="C42" i="5"/>
  <c r="C40" i="5"/>
  <c r="C39" i="5"/>
  <c r="C38" i="5"/>
  <c r="C37" i="5"/>
  <c r="C36" i="5"/>
  <c r="C31" i="5"/>
  <c r="C30" i="5"/>
  <c r="C29" i="5"/>
  <c r="C28" i="5"/>
  <c r="B23" i="5"/>
  <c r="H21" i="5"/>
  <c r="H20" i="5"/>
  <c r="H19" i="5"/>
  <c r="H18" i="5"/>
  <c r="C17" i="5"/>
  <c r="H17" i="5" s="1"/>
  <c r="C16" i="5"/>
  <c r="H16" i="5" s="1"/>
  <c r="C15" i="5"/>
  <c r="H15" i="5" s="1"/>
  <c r="H14" i="5"/>
  <c r="H13" i="5"/>
  <c r="C12" i="5"/>
  <c r="C8" i="5"/>
  <c r="B8" i="5"/>
  <c r="C43" i="5" l="1"/>
  <c r="C32" i="5"/>
  <c r="C33" i="5" s="1"/>
  <c r="H12" i="5"/>
  <c r="H22" i="5" s="1"/>
  <c r="C22" i="5" s="1"/>
  <c r="C23" i="5" s="1"/>
  <c r="C24" i="5" s="1"/>
  <c r="C44" i="5" s="1"/>
  <c r="C45" i="5" l="1"/>
  <c r="C47" i="5" s="1"/>
  <c r="C51" i="5" l="1"/>
  <c r="C49" i="5"/>
  <c r="C58" i="5" s="1"/>
  <c r="C54" i="5" l="1"/>
  <c r="C55" i="5" s="1"/>
</calcChain>
</file>

<file path=xl/sharedStrings.xml><?xml version="1.0" encoding="utf-8"?>
<sst xmlns="http://schemas.openxmlformats.org/spreadsheetml/2006/main" count="64" uniqueCount="64">
  <si>
    <t>FTE</t>
  </si>
  <si>
    <t>Amount</t>
  </si>
  <si>
    <t>Program Director</t>
  </si>
  <si>
    <t>Case Manager</t>
  </si>
  <si>
    <t>TOTAL  PS</t>
  </si>
  <si>
    <t>Total OTPS</t>
  </si>
  <si>
    <t>Agency Administration</t>
  </si>
  <si>
    <t>Social Service Supervisor</t>
  </si>
  <si>
    <t>Housing  Specialist</t>
  </si>
  <si>
    <t>90 units/5 years</t>
  </si>
  <si>
    <t>Program size:</t>
  </si>
  <si>
    <t>Units</t>
  </si>
  <si>
    <t>Total Services and Rent</t>
  </si>
  <si>
    <t>Expected Revenue</t>
  </si>
  <si>
    <t>Rapid Rehousing</t>
  </si>
  <si>
    <t>Model for CoC Rapid Rehousing Program</t>
  </si>
  <si>
    <t>SERVICES &amp; RENTAL ASSISTANCE</t>
  </si>
  <si>
    <t>Total Annual Budget/program (45 units)</t>
  </si>
  <si>
    <t>Peer Specialist</t>
  </si>
  <si>
    <t>Employment Specialist</t>
  </si>
  <si>
    <t>Education/Career Counselor</t>
  </si>
  <si>
    <t>Office Manager</t>
  </si>
  <si>
    <t>Benefits Counselor</t>
  </si>
  <si>
    <t>Utilities Deposits</t>
  </si>
  <si>
    <t>Transportation</t>
  </si>
  <si>
    <t>Moving Expenses</t>
  </si>
  <si>
    <t xml:space="preserve">Broker's Fees </t>
  </si>
  <si>
    <t xml:space="preserve">Office Rent </t>
  </si>
  <si>
    <t xml:space="preserve">Utilities </t>
  </si>
  <si>
    <t>Repairs and Maintenance</t>
  </si>
  <si>
    <t>Office Supplies\Services</t>
  </si>
  <si>
    <t xml:space="preserve">Office Equipment </t>
  </si>
  <si>
    <t xml:space="preserve">Telephone\Internet </t>
  </si>
  <si>
    <t>(two round trip metrocards, per client, per month)</t>
  </si>
  <si>
    <t>Personnel Services</t>
  </si>
  <si>
    <t>HMIS analyst</t>
  </si>
  <si>
    <t>Food/Clothes/Household Supplies</t>
  </si>
  <si>
    <t>$200/unit</t>
  </si>
  <si>
    <t>Match (25%)</t>
  </si>
  <si>
    <t>$1,250/unit</t>
  </si>
  <si>
    <t xml:space="preserve">NOTE: Eligible operations costs under social services </t>
  </si>
  <si>
    <t xml:space="preserve">budgets are only those that are incurred through the </t>
  </si>
  <si>
    <t xml:space="preserve"> space that social services staff work, etc.)</t>
  </si>
  <si>
    <t>provision of services to clients (e.g.: office rent for</t>
  </si>
  <si>
    <t>Total</t>
  </si>
  <si>
    <t>Per Unit Cost per Year</t>
  </si>
  <si>
    <t>TOTAL  Rent</t>
  </si>
  <si>
    <t>Fringe calculation at 36%</t>
  </si>
  <si>
    <t>Fringe @36% (8 FTE)</t>
  </si>
  <si>
    <t>Sub Total Personal Services</t>
  </si>
  <si>
    <t>Other Than Personal Services (Program Costs on Services Budget)</t>
  </si>
  <si>
    <t>TOTAL</t>
  </si>
  <si>
    <t>Operations Cost</t>
  </si>
  <si>
    <t>Insurance (TDB)</t>
  </si>
  <si>
    <t>Total Operations Costs</t>
  </si>
  <si>
    <t>Total PS + OTPS + Operations</t>
  </si>
  <si>
    <t>TOTAL Services &amp; Operations</t>
  </si>
  <si>
    <t>Unit Rate for Services and Operating costs</t>
  </si>
  <si>
    <t>1 bedroom-$2,054</t>
  </si>
  <si>
    <t>Rent - FY22 rates</t>
  </si>
  <si>
    <t>2 bedroom-$2,340</t>
  </si>
  <si>
    <t>(Notes)</t>
  </si>
  <si>
    <t>$90k salary, 25% of time</t>
  </si>
  <si>
    <t>$150/unit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</si>
</sst>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44" fontId="0" fillId="0" borderId="0" xfId="0" applyNumberFormat="1"/>
    <xf numFmtId="0" fontId="1" fillId="3" borderId="5" xfId="0" applyFont="1" applyFill="1" applyBorder="1"/>
    <xf numFmtId="0" fontId="0" fillId="0" borderId="5" xfId="0" applyBorder="1"/>
    <xf numFmtId="44" fontId="0" fillId="0" borderId="4" xfId="1" applyFont="1" applyBorder="1"/>
    <xf numFmtId="166" fontId="0" fillId="0" borderId="0" xfId="0" applyNumberFormat="1"/>
    <xf numFmtId="0" fontId="4" fillId="2" borderId="0" xfId="0" applyFont="1" applyFill="1"/>
    <xf numFmtId="44" fontId="0" fillId="2" borderId="0" xfId="0" applyNumberFormat="1" applyFill="1"/>
    <xf numFmtId="0" fontId="0" fillId="2" borderId="0" xfId="0" applyFill="1"/>
    <xf numFmtId="166" fontId="0" fillId="0" borderId="0" xfId="0" applyNumberFormat="1" applyFill="1"/>
    <xf numFmtId="166" fontId="7" fillId="0" borderId="4" xfId="0" applyNumberFormat="1" applyFont="1" applyBorder="1"/>
    <xf numFmtId="166" fontId="0" fillId="3" borderId="5" xfId="0" applyNumberFormat="1" applyFill="1" applyBorder="1"/>
    <xf numFmtId="166" fontId="0" fillId="0" borderId="4" xfId="1" applyNumberFormat="1" applyFont="1" applyBorder="1"/>
    <xf numFmtId="166" fontId="1" fillId="0" borderId="0" xfId="1" applyNumberFormat="1" applyFont="1"/>
    <xf numFmtId="166" fontId="4" fillId="2" borderId="0" xfId="0" applyNumberFormat="1" applyFont="1" applyFill="1"/>
    <xf numFmtId="9" fontId="2" fillId="2" borderId="2" xfId="0" applyNumberFormat="1" applyFont="1" applyFill="1" applyBorder="1" applyAlignment="1">
      <alignment horizontal="center"/>
    </xf>
    <xf numFmtId="44" fontId="1" fillId="0" borderId="0" xfId="0" applyNumberFormat="1" applyFont="1"/>
    <xf numFmtId="0" fontId="4" fillId="4" borderId="2" xfId="0" applyFont="1" applyFill="1" applyBorder="1"/>
    <xf numFmtId="166" fontId="4" fillId="4" borderId="2" xfId="0" applyNumberFormat="1" applyFont="1" applyFill="1" applyBorder="1"/>
    <xf numFmtId="2" fontId="0" fillId="0" borderId="0" xfId="0" applyNumberFormat="1"/>
    <xf numFmtId="166" fontId="0" fillId="0" borderId="0" xfId="2" applyNumberFormat="1" applyFont="1"/>
    <xf numFmtId="0" fontId="5" fillId="0" borderId="0" xfId="0" applyFont="1" applyFill="1" applyBorder="1"/>
    <xf numFmtId="0" fontId="5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1" fillId="3" borderId="0" xfId="0" applyFont="1" applyFill="1"/>
    <xf numFmtId="166" fontId="0" fillId="3" borderId="0" xfId="0" applyNumberFormat="1" applyFill="1"/>
    <xf numFmtId="0" fontId="0" fillId="3" borderId="0" xfId="0" applyFill="1"/>
    <xf numFmtId="165" fontId="0" fillId="0" borderId="0" xfId="0" applyNumberFormat="1"/>
    <xf numFmtId="166" fontId="1" fillId="3" borderId="0" xfId="0" applyNumberFormat="1" applyFont="1" applyFill="1"/>
    <xf numFmtId="4" fontId="1" fillId="0" borderId="0" xfId="0" applyNumberFormat="1" applyFont="1"/>
    <xf numFmtId="4" fontId="0" fillId="0" borderId="0" xfId="0" applyNumberFormat="1"/>
    <xf numFmtId="166" fontId="1" fillId="0" borderId="0" xfId="0" applyNumberFormat="1" applyFont="1"/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5" xfId="0" applyNumberFormat="1" applyBorder="1"/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6" fontId="4" fillId="3" borderId="0" xfId="0" applyNumberFormat="1" applyFont="1" applyFill="1"/>
    <xf numFmtId="0" fontId="4" fillId="0" borderId="0" xfId="0" applyFont="1"/>
    <xf numFmtId="0" fontId="2" fillId="0" borderId="1" xfId="0" applyFont="1" applyBorder="1" applyAlignment="1">
      <alignment horizontal="left"/>
    </xf>
    <xf numFmtId="166" fontId="0" fillId="0" borderId="3" xfId="0" applyNumberFormat="1" applyBorder="1" applyAlignment="1">
      <alignment horizontal="right"/>
    </xf>
    <xf numFmtId="41" fontId="3" fillId="0" borderId="0" xfId="0" applyNumberFormat="1" applyFont="1" applyAlignment="1">
      <alignment horizontal="center"/>
    </xf>
    <xf numFmtId="0" fontId="4" fillId="4" borderId="0" xfId="0" applyFont="1" applyFill="1"/>
    <xf numFmtId="166" fontId="4" fillId="4" borderId="0" xfId="0" applyNumberFormat="1" applyFont="1" applyFill="1"/>
    <xf numFmtId="166" fontId="0" fillId="5" borderId="0" xfId="1" applyNumberFormat="1" applyFont="1" applyFill="1"/>
    <xf numFmtId="44" fontId="4" fillId="0" borderId="0" xfId="0" applyNumberFormat="1" applyFont="1"/>
    <xf numFmtId="44" fontId="1" fillId="0" borderId="0" xfId="1" applyFont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1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4" fontId="0" fillId="0" borderId="0" xfId="0" applyNumberFormat="1" applyFill="1"/>
    <xf numFmtId="44" fontId="4" fillId="0" borderId="0" xfId="0" applyNumberFormat="1" applyFont="1" applyFill="1"/>
    <xf numFmtId="0" fontId="1" fillId="0" borderId="4" xfId="0" applyFont="1" applyBorder="1" applyAlignment="1">
      <alignment horizontal="left"/>
    </xf>
    <xf numFmtId="0" fontId="4" fillId="4" borderId="6" xfId="0" applyFont="1" applyFill="1" applyBorder="1"/>
    <xf numFmtId="0" fontId="0" fillId="0" borderId="7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901B-A880-4CAB-BE63-6E5ED467CB6C}">
  <sheetPr>
    <pageSetUpPr fitToPage="1"/>
  </sheetPr>
  <dimension ref="A1:M70"/>
  <sheetViews>
    <sheetView tabSelected="1" zoomScale="80" zoomScaleNormal="80" workbookViewId="0">
      <selection activeCell="D42" sqref="D42"/>
    </sheetView>
  </sheetViews>
  <sheetFormatPr defaultRowHeight="15" x14ac:dyDescent="0.25"/>
  <cols>
    <col min="1" max="1" width="34.140625" customWidth="1"/>
    <col min="2" max="2" width="8.85546875" customWidth="1"/>
    <col min="3" max="3" width="21" style="10" customWidth="1"/>
    <col min="4" max="4" width="20" customWidth="1"/>
    <col min="5" max="5" width="4.85546875" customWidth="1"/>
    <col min="6" max="6" width="14.5703125" customWidth="1"/>
    <col min="7" max="7" width="0.140625" customWidth="1"/>
    <col min="8" max="8" width="34.5703125" customWidth="1"/>
    <col min="9" max="9" width="9.140625" customWidth="1"/>
    <col min="10" max="10" width="38.140625" customWidth="1"/>
    <col min="11" max="11" width="13.85546875" customWidth="1"/>
    <col min="12" max="12" width="13.5703125" bestFit="1" customWidth="1"/>
    <col min="13" max="13" width="14.7109375" bestFit="1" customWidth="1"/>
  </cols>
  <sheetData>
    <row r="1" spans="1:10" x14ac:dyDescent="0.25">
      <c r="A1" s="65" t="s">
        <v>14</v>
      </c>
      <c r="B1" s="65"/>
      <c r="C1" s="15"/>
      <c r="D1" s="2"/>
    </row>
    <row r="2" spans="1:10" x14ac:dyDescent="0.25">
      <c r="A2" s="28" t="s">
        <v>16</v>
      </c>
      <c r="B2" s="29"/>
    </row>
    <row r="3" spans="1:10" x14ac:dyDescent="0.25">
      <c r="A3" s="30" t="s">
        <v>15</v>
      </c>
      <c r="C3" s="31" t="s">
        <v>10</v>
      </c>
      <c r="D3" s="32">
        <v>45</v>
      </c>
    </row>
    <row r="4" spans="1:10" x14ac:dyDescent="0.25">
      <c r="A4" s="33"/>
      <c r="B4" s="29"/>
      <c r="H4" s="1"/>
    </row>
    <row r="5" spans="1:10" x14ac:dyDescent="0.25">
      <c r="A5" s="34" t="s">
        <v>59</v>
      </c>
      <c r="B5" s="57" t="s">
        <v>11</v>
      </c>
      <c r="C5" s="59" t="s">
        <v>44</v>
      </c>
      <c r="D5" s="34" t="s">
        <v>45</v>
      </c>
      <c r="G5" s="1"/>
      <c r="H5" s="4"/>
    </row>
    <row r="6" spans="1:10" x14ac:dyDescent="0.25">
      <c r="A6" s="33" t="s">
        <v>58</v>
      </c>
      <c r="B6" s="58">
        <v>30</v>
      </c>
      <c r="C6" s="10">
        <f>B6*2054*12</f>
        <v>739440</v>
      </c>
      <c r="D6" s="60">
        <f>C6/B6</f>
        <v>24648</v>
      </c>
      <c r="F6" s="37"/>
      <c r="G6" s="37"/>
      <c r="J6" s="25"/>
    </row>
    <row r="7" spans="1:10" x14ac:dyDescent="0.25">
      <c r="A7" s="33" t="s">
        <v>60</v>
      </c>
      <c r="B7" s="58">
        <v>15</v>
      </c>
      <c r="C7" s="10">
        <f>B7*2340*12</f>
        <v>421200</v>
      </c>
      <c r="D7" s="60">
        <f>C7/B7</f>
        <v>28080</v>
      </c>
      <c r="F7" s="37"/>
      <c r="G7" s="37"/>
    </row>
    <row r="8" spans="1:10" x14ac:dyDescent="0.25">
      <c r="A8" s="34" t="s">
        <v>46</v>
      </c>
      <c r="B8" s="57">
        <f>B7+B6</f>
        <v>45</v>
      </c>
      <c r="C8" s="38">
        <f>C6+C7</f>
        <v>1160640</v>
      </c>
      <c r="D8" s="37"/>
      <c r="F8" s="39"/>
      <c r="G8" s="37"/>
      <c r="H8" s="40"/>
    </row>
    <row r="9" spans="1:10" x14ac:dyDescent="0.25">
      <c r="A9" s="33"/>
      <c r="B9" s="32"/>
      <c r="D9" s="37"/>
    </row>
    <row r="10" spans="1:10" x14ac:dyDescent="0.25">
      <c r="C10" s="61"/>
    </row>
    <row r="11" spans="1:10" x14ac:dyDescent="0.25">
      <c r="A11" s="34" t="s">
        <v>34</v>
      </c>
      <c r="B11" s="57" t="s">
        <v>0</v>
      </c>
      <c r="C11" s="59" t="s">
        <v>1</v>
      </c>
      <c r="D11" s="58" t="s">
        <v>61</v>
      </c>
      <c r="H11" s="42" t="s">
        <v>47</v>
      </c>
    </row>
    <row r="12" spans="1:10" x14ac:dyDescent="0.25">
      <c r="A12" t="s">
        <v>2</v>
      </c>
      <c r="B12" s="62">
        <v>0.25</v>
      </c>
      <c r="C12" s="10">
        <f>90000*B12</f>
        <v>22500</v>
      </c>
      <c r="D12" t="s">
        <v>62</v>
      </c>
      <c r="H12" s="10">
        <f>C12*0.36</f>
        <v>8100</v>
      </c>
    </row>
    <row r="13" spans="1:10" x14ac:dyDescent="0.25">
      <c r="A13" t="s">
        <v>7</v>
      </c>
      <c r="B13" s="43">
        <v>1</v>
      </c>
      <c r="C13" s="10">
        <v>75000</v>
      </c>
      <c r="H13" s="10">
        <f t="shared" ref="H13:H21" si="0">C13*0.36</f>
        <v>27000</v>
      </c>
    </row>
    <row r="14" spans="1:10" x14ac:dyDescent="0.25">
      <c r="A14" t="s">
        <v>19</v>
      </c>
      <c r="B14" s="43">
        <v>1</v>
      </c>
      <c r="C14" s="10">
        <v>40000</v>
      </c>
      <c r="H14" s="10">
        <f t="shared" si="0"/>
        <v>14400</v>
      </c>
    </row>
    <row r="15" spans="1:10" x14ac:dyDescent="0.25">
      <c r="A15" t="s">
        <v>3</v>
      </c>
      <c r="B15" s="43">
        <v>3</v>
      </c>
      <c r="C15" s="10">
        <f>45000*B15</f>
        <v>135000</v>
      </c>
      <c r="H15" s="10">
        <f t="shared" si="0"/>
        <v>48600</v>
      </c>
    </row>
    <row r="16" spans="1:10" x14ac:dyDescent="0.25">
      <c r="A16" t="s">
        <v>8</v>
      </c>
      <c r="B16" s="43">
        <v>1</v>
      </c>
      <c r="C16" s="10">
        <f>PRODUCT(47000*B16)</f>
        <v>47000</v>
      </c>
      <c r="H16" s="10">
        <f t="shared" si="0"/>
        <v>16920</v>
      </c>
    </row>
    <row r="17" spans="1:13" x14ac:dyDescent="0.25">
      <c r="A17" t="s">
        <v>35</v>
      </c>
      <c r="B17" s="43">
        <v>0.1</v>
      </c>
      <c r="C17" s="10">
        <f>65000*0.1</f>
        <v>6500</v>
      </c>
      <c r="H17" s="10">
        <f t="shared" si="0"/>
        <v>2340</v>
      </c>
    </row>
    <row r="18" spans="1:13" x14ac:dyDescent="0.25">
      <c r="A18" t="s">
        <v>18</v>
      </c>
      <c r="B18" s="43">
        <v>1</v>
      </c>
      <c r="C18" s="10">
        <v>40000</v>
      </c>
      <c r="H18" s="10">
        <f t="shared" si="0"/>
        <v>14400</v>
      </c>
    </row>
    <row r="19" spans="1:13" x14ac:dyDescent="0.25">
      <c r="A19" t="s">
        <v>20</v>
      </c>
      <c r="B19" s="43"/>
      <c r="H19" s="10">
        <f t="shared" si="0"/>
        <v>0</v>
      </c>
    </row>
    <row r="20" spans="1:13" x14ac:dyDescent="0.25">
      <c r="A20" t="s">
        <v>22</v>
      </c>
      <c r="B20" s="43"/>
      <c r="H20" s="10">
        <f t="shared" si="0"/>
        <v>0</v>
      </c>
    </row>
    <row r="21" spans="1:13" x14ac:dyDescent="0.25">
      <c r="A21" t="s">
        <v>21</v>
      </c>
      <c r="B21" s="43"/>
      <c r="H21" s="10">
        <f t="shared" si="0"/>
        <v>0</v>
      </c>
    </row>
    <row r="22" spans="1:13" x14ac:dyDescent="0.25">
      <c r="A22" t="s">
        <v>48</v>
      </c>
      <c r="B22" s="43"/>
      <c r="C22" s="10">
        <f>H22</f>
        <v>131760</v>
      </c>
      <c r="H22" s="44">
        <f>SUM(H12:H21)</f>
        <v>131760</v>
      </c>
      <c r="L22" s="5"/>
    </row>
    <row r="23" spans="1:13" s="1" customFormat="1" x14ac:dyDescent="0.25">
      <c r="A23" s="1" t="s">
        <v>49</v>
      </c>
      <c r="B23" s="45">
        <f>SUM(B12:B21)</f>
        <v>7.35</v>
      </c>
      <c r="C23" s="41">
        <f>SUM(C12:C22)</f>
        <v>497760</v>
      </c>
      <c r="L23" s="3"/>
    </row>
    <row r="24" spans="1:13" s="1" customFormat="1" x14ac:dyDescent="0.25">
      <c r="A24" s="34" t="s">
        <v>4</v>
      </c>
      <c r="B24" s="34"/>
      <c r="C24" s="38">
        <f>SUM(C23)</f>
        <v>497760</v>
      </c>
      <c r="M24" s="21"/>
    </row>
    <row r="25" spans="1:13" s="1" customFormat="1" x14ac:dyDescent="0.25">
      <c r="C25" s="41"/>
      <c r="M25" s="21"/>
    </row>
    <row r="26" spans="1:13" x14ac:dyDescent="0.25">
      <c r="A26" s="34" t="s">
        <v>50</v>
      </c>
      <c r="B26" s="34"/>
      <c r="C26" s="35"/>
      <c r="D26" s="36"/>
    </row>
    <row r="27" spans="1:13" x14ac:dyDescent="0.25">
      <c r="A27" t="s">
        <v>24</v>
      </c>
      <c r="C27" s="10">
        <f>(5.5*45)*24</f>
        <v>5940</v>
      </c>
      <c r="D27" t="s">
        <v>33</v>
      </c>
    </row>
    <row r="28" spans="1:13" x14ac:dyDescent="0.25">
      <c r="A28" t="s">
        <v>25</v>
      </c>
      <c r="C28" s="10">
        <f>100*45</f>
        <v>4500</v>
      </c>
    </row>
    <row r="29" spans="1:13" x14ac:dyDescent="0.25">
      <c r="A29" s="46" t="s">
        <v>36</v>
      </c>
      <c r="C29" s="10">
        <f>200*45</f>
        <v>9000</v>
      </c>
      <c r="D29" t="s">
        <v>37</v>
      </c>
      <c r="J29" s="24"/>
    </row>
    <row r="30" spans="1:13" x14ac:dyDescent="0.25">
      <c r="A30" t="s">
        <v>26</v>
      </c>
      <c r="C30" s="10">
        <f>1250*45</f>
        <v>56250</v>
      </c>
      <c r="D30" t="s">
        <v>39</v>
      </c>
      <c r="H30" s="10"/>
    </row>
    <row r="31" spans="1:13" x14ac:dyDescent="0.25">
      <c r="A31" t="s">
        <v>23</v>
      </c>
      <c r="C31" s="10">
        <f>75*45</f>
        <v>3375</v>
      </c>
      <c r="D31" t="s">
        <v>63</v>
      </c>
    </row>
    <row r="32" spans="1:13" x14ac:dyDescent="0.25">
      <c r="A32" s="1" t="s">
        <v>51</v>
      </c>
      <c r="C32" s="10">
        <f>SUM(C31+C30+C29+C28+C27)</f>
        <v>79065</v>
      </c>
    </row>
    <row r="33" spans="1:13" s="1" customFormat="1" ht="15.75" x14ac:dyDescent="0.25">
      <c r="A33" s="34" t="s">
        <v>5</v>
      </c>
      <c r="B33" s="34"/>
      <c r="C33" s="47">
        <f>C32</f>
        <v>79065</v>
      </c>
    </row>
    <row r="34" spans="1:13" s="1" customFormat="1" x14ac:dyDescent="0.25">
      <c r="A34"/>
      <c r="B34"/>
      <c r="C34" s="10"/>
    </row>
    <row r="35" spans="1:13" s="1" customFormat="1" x14ac:dyDescent="0.25">
      <c r="A35" s="34" t="s">
        <v>52</v>
      </c>
      <c r="B35" s="36"/>
      <c r="C35" s="35"/>
      <c r="D35" s="26" t="s">
        <v>40</v>
      </c>
    </row>
    <row r="36" spans="1:13" s="1" customFormat="1" x14ac:dyDescent="0.25">
      <c r="A36" t="s">
        <v>27</v>
      </c>
      <c r="B36"/>
      <c r="C36" s="10">
        <f>150000*0.33</f>
        <v>49500</v>
      </c>
      <c r="D36" s="27" t="s">
        <v>41</v>
      </c>
    </row>
    <row r="37" spans="1:13" s="1" customFormat="1" x14ac:dyDescent="0.25">
      <c r="A37" t="s">
        <v>28</v>
      </c>
      <c r="B37"/>
      <c r="C37" s="10">
        <f>4500*0.33</f>
        <v>1485</v>
      </c>
      <c r="D37" s="27" t="s">
        <v>43</v>
      </c>
    </row>
    <row r="38" spans="1:13" s="1" customFormat="1" x14ac:dyDescent="0.25">
      <c r="A38" s="46" t="s">
        <v>29</v>
      </c>
      <c r="B38"/>
      <c r="C38" s="10">
        <f>1500*0.33</f>
        <v>495</v>
      </c>
      <c r="D38" s="27" t="s">
        <v>42</v>
      </c>
    </row>
    <row r="39" spans="1:13" s="1" customFormat="1" x14ac:dyDescent="0.25">
      <c r="A39" t="s">
        <v>30</v>
      </c>
      <c r="B39"/>
      <c r="C39" s="10">
        <f>12000*0.33</f>
        <v>3960</v>
      </c>
    </row>
    <row r="40" spans="1:13" s="1" customFormat="1" ht="15.75" x14ac:dyDescent="0.25">
      <c r="A40" t="s">
        <v>31</v>
      </c>
      <c r="B40"/>
      <c r="C40" s="10">
        <f>5000*0.33</f>
        <v>1650</v>
      </c>
      <c r="H40" s="48"/>
    </row>
    <row r="41" spans="1:13" s="1" customFormat="1" x14ac:dyDescent="0.25">
      <c r="A41" t="s">
        <v>53</v>
      </c>
      <c r="B41"/>
      <c r="C41" s="10">
        <v>2000</v>
      </c>
    </row>
    <row r="42" spans="1:13" s="1" customFormat="1" x14ac:dyDescent="0.25">
      <c r="A42" t="s">
        <v>32</v>
      </c>
      <c r="B42"/>
      <c r="C42" s="10">
        <f>5000*0.33</f>
        <v>1650</v>
      </c>
    </row>
    <row r="43" spans="1:13" s="1" customFormat="1" x14ac:dyDescent="0.25">
      <c r="A43" t="s">
        <v>54</v>
      </c>
      <c r="B43"/>
      <c r="C43" s="10">
        <f>SUM(C42+C41+C40+C39+C38+C37+C36)</f>
        <v>60740</v>
      </c>
    </row>
    <row r="44" spans="1:13" s="1" customFormat="1" x14ac:dyDescent="0.25">
      <c r="A44" s="1" t="s">
        <v>55</v>
      </c>
      <c r="B44"/>
      <c r="C44" s="10">
        <f>C43+C32+C24</f>
        <v>637565</v>
      </c>
    </row>
    <row r="45" spans="1:13" x14ac:dyDescent="0.25">
      <c r="A45" s="49" t="s">
        <v>6</v>
      </c>
      <c r="B45" s="20">
        <v>7.0000000000000007E-2</v>
      </c>
      <c r="C45" s="50">
        <f>C44*7%</f>
        <v>44629.55</v>
      </c>
      <c r="D45" s="51"/>
    </row>
    <row r="47" spans="1:13" ht="15.75" x14ac:dyDescent="0.25">
      <c r="A47" s="52" t="s">
        <v>56</v>
      </c>
      <c r="B47" s="52"/>
      <c r="C47" s="53">
        <f>C44+C45</f>
        <v>682194.55</v>
      </c>
      <c r="H47" s="10"/>
      <c r="L47" s="10"/>
      <c r="M47" s="10"/>
    </row>
    <row r="48" spans="1:13" x14ac:dyDescent="0.25">
      <c r="H48" s="63"/>
      <c r="M48" s="14"/>
    </row>
    <row r="49" spans="1:13" x14ac:dyDescent="0.25">
      <c r="A49" t="s">
        <v>57</v>
      </c>
      <c r="C49" s="54">
        <f>C47/D3</f>
        <v>15159.87888888889</v>
      </c>
      <c r="M49" s="10"/>
    </row>
    <row r="50" spans="1:13" x14ac:dyDescent="0.25">
      <c r="H50" s="10"/>
    </row>
    <row r="51" spans="1:13" ht="15.75" x14ac:dyDescent="0.25">
      <c r="A51" s="52" t="s">
        <v>12</v>
      </c>
      <c r="B51" s="52"/>
      <c r="C51" s="53">
        <f>C47+C8</f>
        <v>1842834.55</v>
      </c>
      <c r="E51" s="4"/>
    </row>
    <row r="52" spans="1:13" s="8" customFormat="1" x14ac:dyDescent="0.25">
      <c r="A52" s="7" t="s">
        <v>13</v>
      </c>
      <c r="B52" s="7"/>
      <c r="C52" s="16"/>
    </row>
    <row r="53" spans="1:13" s="2" customFormat="1" x14ac:dyDescent="0.25">
      <c r="B53" s="9"/>
      <c r="C53" s="17">
        <f>B53*D3*12*0.75</f>
        <v>0</v>
      </c>
    </row>
    <row r="54" spans="1:13" ht="15.75" x14ac:dyDescent="0.25">
      <c r="A54" s="66" t="s">
        <v>38</v>
      </c>
      <c r="B54" s="67"/>
      <c r="C54" s="23">
        <f>C51*0.25</f>
        <v>460708.63750000001</v>
      </c>
      <c r="H54" s="10"/>
    </row>
    <row r="55" spans="1:13" ht="15.75" x14ac:dyDescent="0.25">
      <c r="A55" s="22" t="s">
        <v>17</v>
      </c>
      <c r="B55" s="22"/>
      <c r="C55" s="23">
        <f>C51+C54</f>
        <v>2303543.1875</v>
      </c>
      <c r="D55" s="55"/>
      <c r="E55" s="64"/>
      <c r="H55" s="10"/>
    </row>
    <row r="56" spans="1:13" x14ac:dyDescent="0.25">
      <c r="D56" s="6"/>
      <c r="E56" s="6"/>
    </row>
    <row r="57" spans="1:13" hidden="1" x14ac:dyDescent="0.25">
      <c r="D57" s="6"/>
      <c r="E57" s="6"/>
    </row>
    <row r="58" spans="1:13" hidden="1" x14ac:dyDescent="0.25">
      <c r="A58" s="3" t="s">
        <v>9</v>
      </c>
      <c r="C58" s="18">
        <f>PRODUCT(C49*90*5)</f>
        <v>6821945.5</v>
      </c>
      <c r="D58" s="56"/>
      <c r="E58" s="6"/>
    </row>
    <row r="59" spans="1:13" hidden="1" x14ac:dyDescent="0.25">
      <c r="D59" s="6"/>
      <c r="E59" s="6"/>
    </row>
    <row r="60" spans="1:13" x14ac:dyDescent="0.25">
      <c r="D60" s="6"/>
      <c r="E60" s="6"/>
    </row>
    <row r="61" spans="1:13" s="13" customFormat="1" ht="15.75" x14ac:dyDescent="0.25">
      <c r="A61" s="11"/>
      <c r="B61" s="11"/>
      <c r="C61" s="19"/>
      <c r="D61" s="12"/>
      <c r="E61" s="12"/>
    </row>
    <row r="63" spans="1:13" ht="15" customHeight="1" x14ac:dyDescent="0.25">
      <c r="H63" s="6"/>
    </row>
    <row r="64" spans="1:13" x14ac:dyDescent="0.25">
      <c r="B64" s="5"/>
      <c r="H64" s="10"/>
    </row>
    <row r="65" spans="2:8" x14ac:dyDescent="0.25">
      <c r="H65" s="6"/>
    </row>
    <row r="70" spans="2:8" x14ac:dyDescent="0.25">
      <c r="B70" s="5"/>
    </row>
  </sheetData>
  <mergeCells count="2">
    <mergeCell ref="A1:B1"/>
    <mergeCell ref="A54:B54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RRH - MODEL BUDGET - RFP</vt:lpstr>
      <vt:lpstr>'RRH - MODEL BUDGET - RFP'!Print_Area</vt:lpstr>
    </vt:vector>
  </TitlesOfParts>
  <Company>NYC Department of Health and Mental Hygiene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Wolsk</dc:creator>
  <cp:lastModifiedBy>NYC HRA</cp:lastModifiedBy>
  <cp:lastPrinted>2022-07-29T12:40:54Z</cp:lastPrinted>
  <dcterms:created xsi:type="dcterms:W3CDTF">2017-03-28T21:01:15Z</dcterms:created>
  <dcterms:modified xsi:type="dcterms:W3CDTF">2022-08-01T20:45:36Z</dcterms:modified>
</cp:coreProperties>
</file>